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3276e\Downloads\"/>
    </mc:Choice>
  </mc:AlternateContent>
  <bookViews>
    <workbookView xWindow="120" yWindow="90" windowWidth="28515" windowHeight="1335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41" i="1" l="1"/>
  <c r="B41" i="1" s="1"/>
  <c r="C40" i="1"/>
  <c r="D37" i="1"/>
  <c r="D38" i="1"/>
  <c r="D39" i="1"/>
  <c r="P39" i="1" s="1"/>
  <c r="D34" i="1"/>
  <c r="D35" i="1"/>
  <c r="C36" i="1"/>
  <c r="D3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B40" i="1"/>
  <c r="D40" i="1"/>
  <c r="P40" i="1" s="1"/>
  <c r="N31" i="1"/>
  <c r="N30" i="1"/>
  <c r="O30" i="1" s="1"/>
  <c r="P30" i="1" s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42" i="1"/>
  <c r="I42" i="1"/>
  <c r="H42" i="1"/>
  <c r="G42" i="1"/>
  <c r="J42" i="1" s="1"/>
  <c r="L42" i="1" s="1"/>
  <c r="O42" i="1" s="1"/>
  <c r="E42" i="1"/>
  <c r="F42" i="1"/>
  <c r="N41" i="1"/>
  <c r="N42" i="1" s="1"/>
  <c r="J41" i="1"/>
  <c r="L41" i="1" s="1"/>
  <c r="O41" i="1" s="1"/>
  <c r="N40" i="1"/>
  <c r="J40" i="1"/>
  <c r="L40" i="1"/>
  <c r="O40" i="1" s="1"/>
  <c r="J39" i="1"/>
  <c r="J38" i="1"/>
  <c r="J37" i="1"/>
  <c r="J36" i="1"/>
  <c r="J35" i="1"/>
  <c r="L35" i="1" s="1"/>
  <c r="O35" i="1" s="1"/>
  <c r="P35" i="1" s="1"/>
  <c r="J12" i="1"/>
  <c r="J13" i="1"/>
  <c r="J14" i="1"/>
  <c r="J15" i="1"/>
  <c r="K15" i="1" s="1"/>
  <c r="J16" i="1"/>
  <c r="J17" i="1"/>
  <c r="J18" i="1"/>
  <c r="J19" i="1"/>
  <c r="K19" i="1" s="1"/>
  <c r="J20" i="1"/>
  <c r="J21" i="1"/>
  <c r="J22" i="1"/>
  <c r="J23" i="1"/>
  <c r="K23" i="1" s="1"/>
  <c r="J24" i="1"/>
  <c r="J25" i="1"/>
  <c r="J26" i="1"/>
  <c r="J27" i="1"/>
  <c r="K27" i="1" s="1"/>
  <c r="J28" i="1"/>
  <c r="J29" i="1"/>
  <c r="J30" i="1"/>
  <c r="J31" i="1"/>
  <c r="J32" i="1"/>
  <c r="J33" i="1"/>
  <c r="J34" i="1"/>
  <c r="J11" i="1"/>
  <c r="K11" i="1" s="1"/>
  <c r="J10" i="1"/>
  <c r="J9" i="1"/>
  <c r="J8" i="1"/>
  <c r="J7" i="1"/>
  <c r="K7" i="1" s="1"/>
  <c r="J6" i="1"/>
  <c r="J5" i="1"/>
  <c r="J4" i="1"/>
  <c r="J3" i="1"/>
  <c r="K3" i="1" s="1"/>
  <c r="L3" i="1" s="1"/>
  <c r="O3" i="1" s="1"/>
  <c r="P3" i="1" s="1"/>
  <c r="L37" i="1"/>
  <c r="L38" i="1"/>
  <c r="L39" i="1"/>
  <c r="O39" i="1" s="1"/>
  <c r="N39" i="1"/>
  <c r="N38" i="1"/>
  <c r="O38" i="1"/>
  <c r="P38" i="1" s="1"/>
  <c r="N37" i="1"/>
  <c r="O37" i="1"/>
  <c r="N36" i="1"/>
  <c r="N35" i="1"/>
  <c r="N34" i="1"/>
  <c r="N33" i="1"/>
  <c r="L33" i="1"/>
  <c r="O33" i="1"/>
  <c r="P33" i="1" s="1"/>
  <c r="N32" i="1"/>
  <c r="L29" i="1"/>
  <c r="O29" i="1" s="1"/>
  <c r="P29" i="1" s="1"/>
  <c r="D3" i="1"/>
  <c r="D4" i="1"/>
  <c r="D5" i="1"/>
  <c r="D6" i="1"/>
  <c r="D7" i="1"/>
  <c r="D8" i="1"/>
  <c r="D9" i="1"/>
  <c r="D10" i="1"/>
  <c r="P10" i="1" s="1"/>
  <c r="D11" i="1"/>
  <c r="L28" i="1"/>
  <c r="L30" i="1"/>
  <c r="L31" i="1"/>
  <c r="O31" i="1" s="1"/>
  <c r="P31" i="1" s="1"/>
  <c r="L34" i="1"/>
  <c r="K26" i="1"/>
  <c r="L26" i="1"/>
  <c r="O26" i="1" s="1"/>
  <c r="P26" i="1" s="1"/>
  <c r="K22" i="1"/>
  <c r="L22" i="1"/>
  <c r="O22" i="1" s="1"/>
  <c r="P22" i="1" s="1"/>
  <c r="K18" i="1"/>
  <c r="L18" i="1"/>
  <c r="O18" i="1" s="1"/>
  <c r="P18" i="1" s="1"/>
  <c r="K14" i="1"/>
  <c r="L14" i="1"/>
  <c r="O14" i="1" s="1"/>
  <c r="P14" i="1" s="1"/>
  <c r="K10" i="1"/>
  <c r="L10" i="1"/>
  <c r="O10" i="1" s="1"/>
  <c r="K6" i="1"/>
  <c r="L6" i="1"/>
  <c r="O6" i="1" s="1"/>
  <c r="K25" i="1"/>
  <c r="L25" i="1"/>
  <c r="O25" i="1" s="1"/>
  <c r="P25" i="1" s="1"/>
  <c r="K21" i="1"/>
  <c r="L21" i="1"/>
  <c r="O21" i="1" s="1"/>
  <c r="P21" i="1" s="1"/>
  <c r="K17" i="1"/>
  <c r="L17" i="1"/>
  <c r="O17" i="1" s="1"/>
  <c r="P17" i="1" s="1"/>
  <c r="K13" i="1"/>
  <c r="L13" i="1"/>
  <c r="O13" i="1" s="1"/>
  <c r="P13" i="1" s="1"/>
  <c r="K9" i="1"/>
  <c r="L9" i="1"/>
  <c r="O9" i="1" s="1"/>
  <c r="P9" i="1" s="1"/>
  <c r="K5" i="1"/>
  <c r="L5" i="1"/>
  <c r="O5" i="1" s="1"/>
  <c r="P5" i="1" s="1"/>
  <c r="L36" i="1"/>
  <c r="O36" i="1"/>
  <c r="P36" i="1" s="1"/>
  <c r="L32" i="1"/>
  <c r="O32" i="1" s="1"/>
  <c r="P32" i="1" s="1"/>
  <c r="K24" i="1"/>
  <c r="L24" i="1"/>
  <c r="O24" i="1" s="1"/>
  <c r="P24" i="1" s="1"/>
  <c r="K20" i="1"/>
  <c r="L20" i="1"/>
  <c r="O20" i="1" s="1"/>
  <c r="P20" i="1" s="1"/>
  <c r="K16" i="1"/>
  <c r="L16" i="1"/>
  <c r="O16" i="1" s="1"/>
  <c r="P16" i="1" s="1"/>
  <c r="K12" i="1"/>
  <c r="L12" i="1"/>
  <c r="O12" i="1" s="1"/>
  <c r="P12" i="1" s="1"/>
  <c r="K8" i="1"/>
  <c r="L8" i="1"/>
  <c r="O8" i="1" s="1"/>
  <c r="P8" i="1" s="1"/>
  <c r="K4" i="1"/>
  <c r="L4" i="1"/>
  <c r="O4" i="1" s="1"/>
  <c r="P4" i="1" s="1"/>
  <c r="Q4" i="1" s="1"/>
  <c r="O34" i="1"/>
  <c r="P34" i="1" s="1"/>
  <c r="O28" i="1"/>
  <c r="P28" i="1"/>
  <c r="P37" i="1"/>
  <c r="Q5" i="1" l="1"/>
  <c r="Q6" i="1" s="1"/>
  <c r="P6" i="1"/>
  <c r="D41" i="1"/>
  <c r="P41" i="1" s="1"/>
  <c r="B42" i="1"/>
  <c r="D42" i="1" s="1"/>
  <c r="P42" i="1" s="1"/>
  <c r="L7" i="1"/>
  <c r="O7" i="1" s="1"/>
  <c r="P7" i="1" s="1"/>
  <c r="L11" i="1"/>
  <c r="O11" i="1" s="1"/>
  <c r="P11" i="1" s="1"/>
  <c r="L15" i="1"/>
  <c r="O15" i="1" s="1"/>
  <c r="P15" i="1" s="1"/>
  <c r="L19" i="1"/>
  <c r="O19" i="1" s="1"/>
  <c r="P19" i="1" s="1"/>
  <c r="L23" i="1"/>
  <c r="O23" i="1" s="1"/>
  <c r="P23" i="1" s="1"/>
  <c r="L27" i="1"/>
  <c r="O27" i="1" s="1"/>
  <c r="P27" i="1" s="1"/>
  <c r="C42" i="1"/>
  <c r="Q7" i="1" l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</calcChain>
</file>

<file path=xl/sharedStrings.xml><?xml version="1.0" encoding="utf-8"?>
<sst xmlns="http://schemas.openxmlformats.org/spreadsheetml/2006/main" count="24" uniqueCount="24">
  <si>
    <t>Cuotas  Ocupados</t>
  </si>
  <si>
    <t>Cuotas  Desempl.</t>
  </si>
  <si>
    <t>Total Cuotas C.G.</t>
  </si>
  <si>
    <t>P. Incapacidad</t>
  </si>
  <si>
    <t>P. Jubilación</t>
  </si>
  <si>
    <t>P. Viudedad</t>
  </si>
  <si>
    <t>P. Orfandad</t>
  </si>
  <si>
    <t>P. F. Familiar</t>
  </si>
  <si>
    <t xml:space="preserve">Total  Pensiones </t>
  </si>
  <si>
    <t xml:space="preserve">Compl. Mín. Incap. + Jubil. </t>
  </si>
  <si>
    <t>P. Cotizantes</t>
  </si>
  <si>
    <t>I.T. Común</t>
  </si>
  <si>
    <t>Mater. Pater. Otras</t>
  </si>
  <si>
    <t>Prestaciones Cotizantes</t>
  </si>
  <si>
    <t xml:space="preserve">Hucha Teórica </t>
  </si>
  <si>
    <t>Capit. H. T.</t>
  </si>
  <si>
    <t>Tipo aplic.(1)</t>
  </si>
  <si>
    <t>Aport. Efectivas</t>
  </si>
  <si>
    <t>Saldo Aport.</t>
  </si>
  <si>
    <t xml:space="preserve">(1)2001-2015 : Rendimiento medio  Deuda pública (Tesoro Público); 1998-2000 Rendimiento medio de bonos a 3  años (Tesoro Público)   </t>
  </si>
  <si>
    <t>Los datos sobre el importe de los  complementos de mínimos de las pensiones de incapacidad y jubilación para los años anteriores a 2002 son estimados. A partir de 2014 el importe  de las pensiones no los incluyen.</t>
  </si>
  <si>
    <t>Desde 2010 la cotización de desempleados incluye también "cese act. de  trab. Autonomos"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</si>
  <si>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Cuentas y Balances de la Seguridad Social 1977-2010 e Informes Economico Financieros a los Presupuestos de la Seguridad Social 2011-2015. Ejecución del Presupuesto del Sistema de la Seguridad Social 2016</t>
    </r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</si>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</sst>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21">
    <dxf>
      <numFmt numFmtId="3" formatCode="#,##0"/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T43" totalsRowShown="0" headerRowDxfId="0" dataDxfId="1">
  <autoFilter ref="A2:T43"/>
  <tableColumns count="20">
    <tableColumn id="1" name="Año"/>
    <tableColumn id="2" name="Cuotas  Ocupados" dataDxfId="20"/>
    <tableColumn id="3" name="Cuotas  Desempl." dataDxfId="19"/>
    <tableColumn id="4" name="Total Cuotas C.G." dataDxfId="18"/>
    <tableColumn id="5" name="P. Incapacidad" dataDxfId="17"/>
    <tableColumn id="6" name="P. Jubilación" dataDxfId="16"/>
    <tableColumn id="7" name="P. Viudedad" dataDxfId="15"/>
    <tableColumn id="8" name="P. Orfandad" dataDxfId="14"/>
    <tableColumn id="9" name="P. F. Familiar" dataDxfId="13"/>
    <tableColumn id="10" name="Total  Pensiones " dataDxfId="12"/>
    <tableColumn id="11" name="Compl. Mín. Incap. + Jubil. " dataDxfId="11"/>
    <tableColumn id="12" name="P. Cotizantes" dataDxfId="10"/>
    <tableColumn id="13" name="I.T. Común" dataDxfId="9"/>
    <tableColumn id="14" name="Mater. Pater. Otras" dataDxfId="8"/>
    <tableColumn id="15" name="Prestaciones Cotizantes" dataDxfId="7"/>
    <tableColumn id="16" name="Hucha Teórica " dataDxfId="6"/>
    <tableColumn id="17" name="Capit. H. T." dataDxfId="5"/>
    <tableColumn id="18" name="Tipo aplic.(1)" dataDxfId="4"/>
    <tableColumn id="19" name="Aport. Efectivas" dataDxfId="3"/>
    <tableColumn id="20" name="Saldo Aport." dataDxfId="2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tabSelected="1" zoomScale="60" zoomScaleNormal="60" workbookViewId="0">
      <selection activeCell="K2" sqref="K2"/>
    </sheetView>
  </sheetViews>
  <sheetFormatPr baseColWidth="10" defaultColWidth="11.42578125" defaultRowHeight="15" x14ac:dyDescent="0.25"/>
  <cols>
    <col min="1" max="1" width="8.7109375" customWidth="1"/>
    <col min="2" max="2" width="13.7109375" customWidth="1"/>
    <col min="3" max="4" width="14.5703125" customWidth="1"/>
    <col min="5" max="5" width="15.85546875" customWidth="1"/>
    <col min="6" max="6" width="15.28515625" customWidth="1"/>
    <col min="7" max="7" width="14.85546875" customWidth="1"/>
    <col min="8" max="8" width="14.7109375" customWidth="1"/>
    <col min="9" max="9" width="12.140625" customWidth="1"/>
    <col min="10" max="10" width="14.85546875" customWidth="1"/>
    <col min="11" max="11" width="18.140625" customWidth="1"/>
    <col min="12" max="12" width="15.7109375" customWidth="1"/>
    <col min="13" max="13" width="13.28515625" customWidth="1"/>
    <col min="14" max="14" width="15.85546875" customWidth="1"/>
    <col min="15" max="15" width="19.28515625" customWidth="1"/>
    <col min="16" max="16" width="14.7109375" customWidth="1"/>
    <col min="17" max="17" width="13.42578125" customWidth="1"/>
    <col min="18" max="18" width="11.7109375" customWidth="1"/>
    <col min="19" max="19" width="13.42578125" customWidth="1"/>
    <col min="20" max="20" width="12.42578125" customWidth="1"/>
  </cols>
  <sheetData>
    <row r="2" spans="1:20" s="11" customFormat="1" ht="65.25" customHeight="1" x14ac:dyDescent="0.25">
      <c r="A2" s="11" t="s">
        <v>23</v>
      </c>
      <c r="B2" s="11" t="s">
        <v>0</v>
      </c>
      <c r="C2" s="11" t="s">
        <v>1</v>
      </c>
      <c r="D2" s="12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3" t="s">
        <v>10</v>
      </c>
      <c r="M2" s="14" t="s">
        <v>11</v>
      </c>
      <c r="N2" s="14" t="s">
        <v>12</v>
      </c>
      <c r="O2" s="15" t="s">
        <v>13</v>
      </c>
      <c r="P2" s="15" t="s">
        <v>14</v>
      </c>
      <c r="Q2" s="16" t="s">
        <v>15</v>
      </c>
      <c r="R2" s="16" t="s">
        <v>16</v>
      </c>
      <c r="S2" s="16" t="s">
        <v>17</v>
      </c>
      <c r="T2" s="16" t="s">
        <v>18</v>
      </c>
    </row>
    <row r="3" spans="1:20" x14ac:dyDescent="0.25">
      <c r="A3" s="2">
        <v>1977</v>
      </c>
      <c r="B3" s="1">
        <v>5531</v>
      </c>
      <c r="C3" s="1"/>
      <c r="D3" s="3">
        <f>B3+C3</f>
        <v>5531</v>
      </c>
      <c r="E3" s="1">
        <v>586</v>
      </c>
      <c r="F3" s="1">
        <v>1319</v>
      </c>
      <c r="G3" s="1">
        <v>401</v>
      </c>
      <c r="H3" s="1">
        <v>53</v>
      </c>
      <c r="I3" s="1">
        <v>8</v>
      </c>
      <c r="J3" s="1">
        <f t="shared" ref="J3:J11" si="0">E3+F3+G3+H3+I3</f>
        <v>2367</v>
      </c>
      <c r="K3" s="1">
        <f>J3*0.065</f>
        <v>153.85500000000002</v>
      </c>
      <c r="L3" s="4">
        <f>J3-K3</f>
        <v>2213.145</v>
      </c>
      <c r="M3" s="4">
        <v>484</v>
      </c>
      <c r="N3" s="4">
        <v>94</v>
      </c>
      <c r="O3" s="3">
        <f>L3+M3+N3</f>
        <v>2791.145</v>
      </c>
      <c r="P3" s="3">
        <f t="shared" ref="P3:P12" si="1">D3-O3</f>
        <v>2739.855</v>
      </c>
      <c r="Q3" s="10">
        <v>2740</v>
      </c>
      <c r="R3" s="9">
        <v>0.12379999999999999</v>
      </c>
      <c r="S3" s="1"/>
      <c r="T3" s="1"/>
    </row>
    <row r="4" spans="1:20" x14ac:dyDescent="0.25">
      <c r="A4" s="2">
        <v>1978</v>
      </c>
      <c r="B4" s="1">
        <v>7128</v>
      </c>
      <c r="C4" s="1"/>
      <c r="D4" s="3">
        <f t="shared" ref="D4:D41" si="2">B4+C4</f>
        <v>7128</v>
      </c>
      <c r="E4" s="1">
        <v>845</v>
      </c>
      <c r="F4" s="1">
        <v>1908</v>
      </c>
      <c r="G4" s="1">
        <v>600</v>
      </c>
      <c r="H4" s="1">
        <v>77</v>
      </c>
      <c r="I4" s="1">
        <v>14</v>
      </c>
      <c r="J4" s="1">
        <f t="shared" si="0"/>
        <v>3444</v>
      </c>
      <c r="K4" s="1">
        <f t="shared" ref="K4:K27" si="3">J4*0.065</f>
        <v>223.86</v>
      </c>
      <c r="L4" s="4">
        <f t="shared" ref="L4:L42" si="4">J4-K4</f>
        <v>3220.14</v>
      </c>
      <c r="M4" s="4">
        <v>667</v>
      </c>
      <c r="N4" s="4">
        <v>83</v>
      </c>
      <c r="O4" s="3">
        <f t="shared" ref="O4:O36" si="5">L4+M4+N4</f>
        <v>3970.14</v>
      </c>
      <c r="P4" s="3">
        <f t="shared" si="1"/>
        <v>3157.86</v>
      </c>
      <c r="Q4" s="10">
        <f>+Q3*(1+R3)+P4</f>
        <v>6237.0720000000001</v>
      </c>
      <c r="R4" s="9">
        <v>0.12379999999999999</v>
      </c>
      <c r="S4" s="1"/>
      <c r="T4" s="1"/>
    </row>
    <row r="5" spans="1:20" x14ac:dyDescent="0.25">
      <c r="A5" s="2">
        <v>1979</v>
      </c>
      <c r="B5" s="1">
        <v>8605</v>
      </c>
      <c r="C5" s="1"/>
      <c r="D5" s="3">
        <f t="shared" si="2"/>
        <v>8605</v>
      </c>
      <c r="E5" s="1">
        <v>1153</v>
      </c>
      <c r="F5" s="1">
        <v>2452</v>
      </c>
      <c r="G5" s="1">
        <v>781</v>
      </c>
      <c r="H5" s="1">
        <v>98</v>
      </c>
      <c r="I5" s="1">
        <v>17</v>
      </c>
      <c r="J5" s="1">
        <f t="shared" si="0"/>
        <v>4501</v>
      </c>
      <c r="K5" s="1">
        <f t="shared" si="3"/>
        <v>292.565</v>
      </c>
      <c r="L5" s="4">
        <f t="shared" si="4"/>
        <v>4208.4350000000004</v>
      </c>
      <c r="M5" s="4">
        <v>855</v>
      </c>
      <c r="N5" s="4">
        <v>76</v>
      </c>
      <c r="O5" s="3">
        <f t="shared" si="5"/>
        <v>5139.4350000000004</v>
      </c>
      <c r="P5" s="3">
        <f t="shared" si="1"/>
        <v>3465.5649999999996</v>
      </c>
      <c r="Q5" s="10">
        <f t="shared" ref="Q5:Q40" si="6">+Q4*(1+R4)+P5</f>
        <v>10474.7865136</v>
      </c>
      <c r="R5" s="9">
        <v>0.12379999999999999</v>
      </c>
      <c r="S5" s="1"/>
      <c r="T5" s="1"/>
    </row>
    <row r="6" spans="1:20" x14ac:dyDescent="0.25">
      <c r="A6" s="2">
        <v>1980</v>
      </c>
      <c r="B6" s="1">
        <v>9603</v>
      </c>
      <c r="C6" s="1"/>
      <c r="D6" s="3">
        <f t="shared" si="2"/>
        <v>9603</v>
      </c>
      <c r="E6" s="1">
        <v>1381</v>
      </c>
      <c r="F6" s="1">
        <v>2838</v>
      </c>
      <c r="G6" s="1">
        <v>906</v>
      </c>
      <c r="H6" s="1">
        <v>116</v>
      </c>
      <c r="I6" s="1">
        <v>19</v>
      </c>
      <c r="J6" s="1">
        <f t="shared" si="0"/>
        <v>5260</v>
      </c>
      <c r="K6" s="1">
        <f t="shared" si="3"/>
        <v>341.90000000000003</v>
      </c>
      <c r="L6" s="4">
        <f t="shared" si="4"/>
        <v>4918.1000000000004</v>
      </c>
      <c r="M6" s="4">
        <v>889</v>
      </c>
      <c r="N6" s="4">
        <v>46</v>
      </c>
      <c r="O6" s="3">
        <f t="shared" si="5"/>
        <v>5853.1</v>
      </c>
      <c r="P6" s="3">
        <f t="shared" si="1"/>
        <v>3749.8999999999996</v>
      </c>
      <c r="Q6" s="10">
        <f t="shared" si="6"/>
        <v>15521.46508398368</v>
      </c>
      <c r="R6" s="9">
        <v>0.12379999999999999</v>
      </c>
      <c r="S6" s="1"/>
      <c r="T6" s="1"/>
    </row>
    <row r="7" spans="1:20" x14ac:dyDescent="0.25">
      <c r="A7" s="2">
        <v>1981</v>
      </c>
      <c r="B7" s="1">
        <v>10632</v>
      </c>
      <c r="C7" s="1"/>
      <c r="D7" s="3">
        <f t="shared" si="2"/>
        <v>10632</v>
      </c>
      <c r="E7" s="1">
        <v>1795</v>
      </c>
      <c r="F7" s="1">
        <v>3564</v>
      </c>
      <c r="G7" s="1">
        <v>1122</v>
      </c>
      <c r="H7" s="1">
        <v>146</v>
      </c>
      <c r="I7" s="1">
        <v>25</v>
      </c>
      <c r="J7" s="1">
        <f t="shared" si="0"/>
        <v>6652</v>
      </c>
      <c r="K7" s="1">
        <f t="shared" si="3"/>
        <v>432.38</v>
      </c>
      <c r="L7" s="4">
        <f t="shared" si="4"/>
        <v>6219.62</v>
      </c>
      <c r="M7" s="4">
        <v>984</v>
      </c>
      <c r="N7" s="4">
        <v>52</v>
      </c>
      <c r="O7" s="3">
        <f t="shared" si="5"/>
        <v>7255.62</v>
      </c>
      <c r="P7" s="3">
        <f t="shared" si="1"/>
        <v>3376.38</v>
      </c>
      <c r="Q7" s="10">
        <f t="shared" si="6"/>
        <v>20819.402461380858</v>
      </c>
      <c r="R7" s="9">
        <v>0.12379999999999999</v>
      </c>
      <c r="S7" s="1"/>
      <c r="T7" s="1"/>
    </row>
    <row r="8" spans="1:20" x14ac:dyDescent="0.25">
      <c r="A8" s="2">
        <v>1982</v>
      </c>
      <c r="B8" s="1">
        <v>11850</v>
      </c>
      <c r="C8" s="1"/>
      <c r="D8" s="3">
        <f t="shared" si="2"/>
        <v>11850</v>
      </c>
      <c r="E8" s="1">
        <v>2342</v>
      </c>
      <c r="F8" s="1">
        <v>4087</v>
      </c>
      <c r="G8" s="1">
        <v>1292</v>
      </c>
      <c r="H8" s="1">
        <v>170</v>
      </c>
      <c r="I8" s="1">
        <v>30</v>
      </c>
      <c r="J8" s="1">
        <f t="shared" si="0"/>
        <v>7921</v>
      </c>
      <c r="K8" s="1">
        <f t="shared" si="3"/>
        <v>514.86500000000001</v>
      </c>
      <c r="L8" s="4">
        <f t="shared" si="4"/>
        <v>7406.1350000000002</v>
      </c>
      <c r="M8" s="4">
        <v>1171</v>
      </c>
      <c r="N8" s="4">
        <v>54</v>
      </c>
      <c r="O8" s="3">
        <f t="shared" si="5"/>
        <v>8631.1350000000002</v>
      </c>
      <c r="P8" s="3">
        <f t="shared" si="1"/>
        <v>3218.8649999999998</v>
      </c>
      <c r="Q8" s="10">
        <f t="shared" si="6"/>
        <v>26615.709486099804</v>
      </c>
      <c r="R8" s="9">
        <v>0.12379999999999999</v>
      </c>
      <c r="S8" s="1"/>
      <c r="T8" s="1"/>
    </row>
    <row r="9" spans="1:20" x14ac:dyDescent="0.25">
      <c r="A9" s="2">
        <v>1983</v>
      </c>
      <c r="B9" s="1">
        <v>13729</v>
      </c>
      <c r="C9" s="1"/>
      <c r="D9" s="3">
        <f t="shared" si="2"/>
        <v>13729</v>
      </c>
      <c r="E9" s="1">
        <v>2879</v>
      </c>
      <c r="F9" s="1">
        <v>4909</v>
      </c>
      <c r="G9" s="1">
        <v>1544</v>
      </c>
      <c r="H9" s="1">
        <v>195</v>
      </c>
      <c r="I9" s="1">
        <v>35</v>
      </c>
      <c r="J9" s="1">
        <f t="shared" si="0"/>
        <v>9562</v>
      </c>
      <c r="K9" s="1">
        <f t="shared" si="3"/>
        <v>621.53</v>
      </c>
      <c r="L9" s="4">
        <f t="shared" si="4"/>
        <v>8940.4699999999993</v>
      </c>
      <c r="M9" s="4">
        <v>1270</v>
      </c>
      <c r="N9" s="4">
        <v>58</v>
      </c>
      <c r="O9" s="3">
        <f t="shared" si="5"/>
        <v>10268.469999999999</v>
      </c>
      <c r="P9" s="3">
        <f t="shared" si="1"/>
        <v>3460.5300000000007</v>
      </c>
      <c r="Q9" s="10">
        <f t="shared" si="6"/>
        <v>33371.264320478957</v>
      </c>
      <c r="R9" s="9">
        <v>0.12379999999999999</v>
      </c>
      <c r="S9" s="1"/>
      <c r="T9" s="1"/>
    </row>
    <row r="10" spans="1:20" x14ac:dyDescent="0.25">
      <c r="A10" s="2">
        <v>1984</v>
      </c>
      <c r="B10" s="1">
        <v>14778</v>
      </c>
      <c r="C10" s="1"/>
      <c r="D10" s="3">
        <f t="shared" si="2"/>
        <v>14778</v>
      </c>
      <c r="E10" s="1">
        <v>3460</v>
      </c>
      <c r="F10" s="1">
        <v>5743</v>
      </c>
      <c r="G10" s="1">
        <v>1775</v>
      </c>
      <c r="H10" s="1">
        <v>220</v>
      </c>
      <c r="I10" s="1">
        <v>39</v>
      </c>
      <c r="J10" s="1">
        <f t="shared" si="0"/>
        <v>11237</v>
      </c>
      <c r="K10" s="1">
        <f t="shared" si="3"/>
        <v>730.40499999999997</v>
      </c>
      <c r="L10" s="4">
        <f t="shared" si="4"/>
        <v>10506.594999999999</v>
      </c>
      <c r="M10" s="4">
        <v>1285</v>
      </c>
      <c r="N10" s="4">
        <v>58</v>
      </c>
      <c r="O10" s="3">
        <f t="shared" si="5"/>
        <v>11849.594999999999</v>
      </c>
      <c r="P10" s="3">
        <f t="shared" si="1"/>
        <v>2928.4050000000007</v>
      </c>
      <c r="Q10" s="10">
        <f t="shared" si="6"/>
        <v>40431.031843354249</v>
      </c>
      <c r="R10" s="9">
        <v>0.12379999999999999</v>
      </c>
      <c r="S10" s="1"/>
      <c r="T10" s="1"/>
    </row>
    <row r="11" spans="1:20" x14ac:dyDescent="0.25">
      <c r="A11" s="2">
        <v>1985</v>
      </c>
      <c r="B11" s="1">
        <v>13124</v>
      </c>
      <c r="C11" s="1"/>
      <c r="D11" s="3">
        <f t="shared" si="2"/>
        <v>13124</v>
      </c>
      <c r="E11" s="1">
        <v>3833</v>
      </c>
      <c r="F11" s="1">
        <v>6605</v>
      </c>
      <c r="G11" s="1">
        <v>2017</v>
      </c>
      <c r="H11" s="1">
        <v>241</v>
      </c>
      <c r="I11" s="1">
        <v>43</v>
      </c>
      <c r="J11" s="1">
        <f t="shared" si="0"/>
        <v>12739</v>
      </c>
      <c r="K11" s="1">
        <f t="shared" si="3"/>
        <v>828.03500000000008</v>
      </c>
      <c r="L11" s="4">
        <f t="shared" si="4"/>
        <v>11910.965</v>
      </c>
      <c r="M11" s="4">
        <v>1354</v>
      </c>
      <c r="N11" s="4">
        <v>53</v>
      </c>
      <c r="O11" s="3">
        <f t="shared" si="5"/>
        <v>13317.965</v>
      </c>
      <c r="P11" s="3">
        <f t="shared" si="1"/>
        <v>-193.96500000000015</v>
      </c>
      <c r="Q11" s="10">
        <f t="shared" si="6"/>
        <v>45242.428585561502</v>
      </c>
      <c r="R11" s="9">
        <v>0.12379999999999999</v>
      </c>
      <c r="S11" s="1"/>
      <c r="T11" s="1"/>
    </row>
    <row r="12" spans="1:20" x14ac:dyDescent="0.25">
      <c r="A12" s="2">
        <v>1986</v>
      </c>
      <c r="B12" s="1">
        <v>18038</v>
      </c>
      <c r="C12" s="1"/>
      <c r="D12" s="3">
        <f t="shared" si="2"/>
        <v>18038</v>
      </c>
      <c r="E12" s="1">
        <v>4258</v>
      </c>
      <c r="F12" s="1">
        <v>7602</v>
      </c>
      <c r="G12" s="1">
        <v>2296</v>
      </c>
      <c r="H12" s="1">
        <v>268</v>
      </c>
      <c r="I12" s="1">
        <v>48</v>
      </c>
      <c r="J12" s="1">
        <f t="shared" ref="J12:J42" si="7">E12+F12+G12+H12+I12</f>
        <v>14472</v>
      </c>
      <c r="K12" s="1">
        <f t="shared" si="3"/>
        <v>940.68000000000006</v>
      </c>
      <c r="L12" s="4">
        <f t="shared" si="4"/>
        <v>13531.32</v>
      </c>
      <c r="M12" s="4">
        <v>1448</v>
      </c>
      <c r="N12" s="4">
        <v>54</v>
      </c>
      <c r="O12" s="3">
        <f t="shared" si="5"/>
        <v>15033.32</v>
      </c>
      <c r="P12" s="3">
        <f t="shared" si="1"/>
        <v>3004.6800000000003</v>
      </c>
      <c r="Q12" s="10">
        <f t="shared" si="6"/>
        <v>53848.121244454014</v>
      </c>
      <c r="R12" s="9">
        <v>0.12379999999999999</v>
      </c>
      <c r="S12" s="1"/>
      <c r="T12" s="1"/>
    </row>
    <row r="13" spans="1:20" x14ac:dyDescent="0.25">
      <c r="A13" s="2">
        <v>1987</v>
      </c>
      <c r="B13" s="4">
        <v>18903</v>
      </c>
      <c r="C13" s="1">
        <v>1350</v>
      </c>
      <c r="D13" s="3">
        <f t="shared" si="2"/>
        <v>20253</v>
      </c>
      <c r="E13" s="1">
        <v>4627</v>
      </c>
      <c r="F13" s="1">
        <v>8403</v>
      </c>
      <c r="G13" s="1">
        <v>2543</v>
      </c>
      <c r="H13" s="1">
        <v>284</v>
      </c>
      <c r="I13" s="1">
        <v>51</v>
      </c>
      <c r="J13" s="1">
        <f t="shared" si="7"/>
        <v>15908</v>
      </c>
      <c r="K13" s="1">
        <f t="shared" si="3"/>
        <v>1034.02</v>
      </c>
      <c r="L13" s="4">
        <f t="shared" si="4"/>
        <v>14873.98</v>
      </c>
      <c r="M13" s="4">
        <v>1567</v>
      </c>
      <c r="N13" s="4">
        <v>54</v>
      </c>
      <c r="O13" s="3">
        <f t="shared" si="5"/>
        <v>16494.98</v>
      </c>
      <c r="P13" s="3">
        <f t="shared" ref="P13:P36" si="8">B13-O13</f>
        <v>2408.0200000000004</v>
      </c>
      <c r="Q13" s="10">
        <f t="shared" si="6"/>
        <v>62922.538654517411</v>
      </c>
      <c r="R13" s="9">
        <v>0.12379999999999999</v>
      </c>
      <c r="S13" s="1"/>
      <c r="T13" s="1"/>
    </row>
    <row r="14" spans="1:20" x14ac:dyDescent="0.25">
      <c r="A14" s="2">
        <v>1988</v>
      </c>
      <c r="B14" s="4">
        <v>20941</v>
      </c>
      <c r="C14" s="1">
        <v>1482</v>
      </c>
      <c r="D14" s="3">
        <f t="shared" si="2"/>
        <v>22423</v>
      </c>
      <c r="E14" s="1">
        <v>5054</v>
      </c>
      <c r="F14" s="1">
        <v>9419</v>
      </c>
      <c r="G14" s="1">
        <v>2901</v>
      </c>
      <c r="H14" s="1">
        <v>307</v>
      </c>
      <c r="I14" s="1">
        <v>57</v>
      </c>
      <c r="J14" s="1">
        <f t="shared" si="7"/>
        <v>17738</v>
      </c>
      <c r="K14" s="1">
        <f t="shared" si="3"/>
        <v>1152.97</v>
      </c>
      <c r="L14" s="4">
        <f t="shared" si="4"/>
        <v>16585.03</v>
      </c>
      <c r="M14" s="4">
        <v>1748</v>
      </c>
      <c r="N14" s="4">
        <f>14+62</f>
        <v>76</v>
      </c>
      <c r="O14" s="3">
        <f t="shared" si="5"/>
        <v>18409.03</v>
      </c>
      <c r="P14" s="3">
        <f t="shared" si="8"/>
        <v>2531.9700000000012</v>
      </c>
      <c r="Q14" s="10">
        <f t="shared" si="6"/>
        <v>73244.318939946665</v>
      </c>
      <c r="R14" s="9">
        <v>0.12379999999999999</v>
      </c>
      <c r="S14" s="1"/>
      <c r="T14" s="1"/>
    </row>
    <row r="15" spans="1:20" x14ac:dyDescent="0.25">
      <c r="A15" s="2">
        <v>1989</v>
      </c>
      <c r="B15" s="4">
        <v>24198</v>
      </c>
      <c r="C15" s="1">
        <v>1627</v>
      </c>
      <c r="D15" s="3">
        <f t="shared" si="2"/>
        <v>25825</v>
      </c>
      <c r="E15" s="1">
        <v>5549</v>
      </c>
      <c r="F15" s="1">
        <v>10625</v>
      </c>
      <c r="G15" s="1">
        <v>3438</v>
      </c>
      <c r="H15" s="1">
        <v>332</v>
      </c>
      <c r="I15" s="1">
        <v>62</v>
      </c>
      <c r="J15" s="1">
        <f t="shared" si="7"/>
        <v>20006</v>
      </c>
      <c r="K15" s="1">
        <f t="shared" si="3"/>
        <v>1300.3900000000001</v>
      </c>
      <c r="L15" s="4">
        <f t="shared" si="4"/>
        <v>18705.61</v>
      </c>
      <c r="M15" s="4">
        <v>2074</v>
      </c>
      <c r="N15" s="4">
        <f>23+58</f>
        <v>81</v>
      </c>
      <c r="O15" s="3">
        <f t="shared" si="5"/>
        <v>20860.61</v>
      </c>
      <c r="P15" s="3">
        <f t="shared" si="8"/>
        <v>3337.3899999999994</v>
      </c>
      <c r="Q15" s="10">
        <f t="shared" si="6"/>
        <v>85649.355624712058</v>
      </c>
      <c r="R15" s="9">
        <v>0.12559999999999999</v>
      </c>
      <c r="S15" s="1"/>
      <c r="T15" s="1"/>
    </row>
    <row r="16" spans="1:20" x14ac:dyDescent="0.25">
      <c r="A16" s="2">
        <v>1990</v>
      </c>
      <c r="B16" s="4">
        <v>27349</v>
      </c>
      <c r="C16" s="1">
        <v>1869</v>
      </c>
      <c r="D16" s="3">
        <f t="shared" si="2"/>
        <v>29218</v>
      </c>
      <c r="E16" s="1">
        <v>6234</v>
      </c>
      <c r="F16" s="1">
        <v>12029</v>
      </c>
      <c r="G16" s="1">
        <v>4022</v>
      </c>
      <c r="H16" s="1">
        <v>367</v>
      </c>
      <c r="I16" s="1">
        <v>70</v>
      </c>
      <c r="J16" s="1">
        <f t="shared" si="7"/>
        <v>22722</v>
      </c>
      <c r="K16" s="1">
        <f t="shared" si="3"/>
        <v>1476.93</v>
      </c>
      <c r="L16" s="4">
        <f t="shared" si="4"/>
        <v>21245.07</v>
      </c>
      <c r="M16" s="4">
        <v>2487</v>
      </c>
      <c r="N16" s="4">
        <f>34+72</f>
        <v>106</v>
      </c>
      <c r="O16" s="3">
        <f t="shared" si="5"/>
        <v>23838.07</v>
      </c>
      <c r="P16" s="3">
        <f t="shared" si="8"/>
        <v>3510.9300000000003</v>
      </c>
      <c r="Q16" s="10">
        <f t="shared" si="6"/>
        <v>99917.84469117588</v>
      </c>
      <c r="R16" s="9">
        <v>0.1401</v>
      </c>
      <c r="S16" s="1"/>
      <c r="T16" s="1"/>
    </row>
    <row r="17" spans="1:20" x14ac:dyDescent="0.25">
      <c r="A17" s="2">
        <v>1991</v>
      </c>
      <c r="B17" s="4">
        <v>30205</v>
      </c>
      <c r="C17" s="1">
        <v>2380</v>
      </c>
      <c r="D17" s="3">
        <f t="shared" si="2"/>
        <v>32585</v>
      </c>
      <c r="E17" s="1">
        <v>6849</v>
      </c>
      <c r="F17" s="1">
        <v>13454</v>
      </c>
      <c r="G17" s="1">
        <v>4606</v>
      </c>
      <c r="H17" s="1">
        <v>396</v>
      </c>
      <c r="I17" s="1">
        <v>78</v>
      </c>
      <c r="J17" s="1">
        <f t="shared" si="7"/>
        <v>25383</v>
      </c>
      <c r="K17" s="1">
        <f t="shared" si="3"/>
        <v>1649.895</v>
      </c>
      <c r="L17" s="4">
        <f t="shared" si="4"/>
        <v>23733.105</v>
      </c>
      <c r="M17" s="4">
        <v>3017</v>
      </c>
      <c r="N17" s="4">
        <f>45+79</f>
        <v>124</v>
      </c>
      <c r="O17" s="3">
        <f t="shared" si="5"/>
        <v>26874.105</v>
      </c>
      <c r="P17" s="3">
        <f t="shared" si="8"/>
        <v>3330.8950000000004</v>
      </c>
      <c r="Q17" s="10">
        <f t="shared" si="6"/>
        <v>117247.22973240961</v>
      </c>
      <c r="R17" s="9">
        <v>0.1308</v>
      </c>
      <c r="S17" s="1"/>
      <c r="T17" s="1"/>
    </row>
    <row r="18" spans="1:20" x14ac:dyDescent="0.25">
      <c r="A18" s="2">
        <v>1992</v>
      </c>
      <c r="B18" s="4">
        <v>33994</v>
      </c>
      <c r="C18" s="1">
        <v>2922</v>
      </c>
      <c r="D18" s="3">
        <f t="shared" si="2"/>
        <v>36916</v>
      </c>
      <c r="E18" s="1">
        <v>7588</v>
      </c>
      <c r="F18" s="1">
        <v>15002</v>
      </c>
      <c r="G18" s="1">
        <v>5272</v>
      </c>
      <c r="H18" s="1">
        <v>428</v>
      </c>
      <c r="I18" s="1">
        <v>85</v>
      </c>
      <c r="J18" s="1">
        <f t="shared" si="7"/>
        <v>28375</v>
      </c>
      <c r="K18" s="1">
        <f t="shared" si="3"/>
        <v>1844.375</v>
      </c>
      <c r="L18" s="4">
        <f t="shared" si="4"/>
        <v>26530.625</v>
      </c>
      <c r="M18" s="4">
        <v>3397</v>
      </c>
      <c r="N18" s="4">
        <f>53+92</f>
        <v>145</v>
      </c>
      <c r="O18" s="3">
        <f t="shared" si="5"/>
        <v>30072.625</v>
      </c>
      <c r="P18" s="3">
        <f t="shared" si="8"/>
        <v>3921.375</v>
      </c>
      <c r="Q18" s="10">
        <f t="shared" si="6"/>
        <v>136504.5423814088</v>
      </c>
      <c r="R18" s="9">
        <v>0.11650000000000001</v>
      </c>
      <c r="S18" s="1"/>
      <c r="T18" s="1"/>
    </row>
    <row r="19" spans="1:20" x14ac:dyDescent="0.25">
      <c r="A19" s="2">
        <v>1993</v>
      </c>
      <c r="B19" s="4">
        <v>35610</v>
      </c>
      <c r="C19" s="1">
        <v>3404</v>
      </c>
      <c r="D19" s="3">
        <f t="shared" si="2"/>
        <v>39014</v>
      </c>
      <c r="E19" s="1">
        <v>8290</v>
      </c>
      <c r="F19" s="1">
        <v>16791</v>
      </c>
      <c r="G19" s="1">
        <v>5903</v>
      </c>
      <c r="H19" s="1">
        <v>465</v>
      </c>
      <c r="I19" s="1">
        <v>95</v>
      </c>
      <c r="J19" s="1">
        <f t="shared" si="7"/>
        <v>31544</v>
      </c>
      <c r="K19" s="1">
        <f t="shared" si="3"/>
        <v>2050.36</v>
      </c>
      <c r="L19" s="4">
        <f t="shared" si="4"/>
        <v>29493.64</v>
      </c>
      <c r="M19" s="4">
        <v>3349</v>
      </c>
      <c r="N19" s="4">
        <f>54+102</f>
        <v>156</v>
      </c>
      <c r="O19" s="3">
        <f t="shared" si="5"/>
        <v>32998.639999999999</v>
      </c>
      <c r="P19" s="3">
        <f t="shared" si="8"/>
        <v>2611.3600000000006</v>
      </c>
      <c r="Q19" s="10">
        <f t="shared" si="6"/>
        <v>155018.68156884291</v>
      </c>
      <c r="R19" s="9">
        <v>0.10639999999999999</v>
      </c>
      <c r="S19" s="1"/>
      <c r="T19" s="1"/>
    </row>
    <row r="20" spans="1:20" x14ac:dyDescent="0.25">
      <c r="A20" s="2">
        <v>1994</v>
      </c>
      <c r="B20" s="4">
        <v>39730</v>
      </c>
      <c r="C20" s="1">
        <v>3223</v>
      </c>
      <c r="D20" s="3">
        <f t="shared" si="2"/>
        <v>42953</v>
      </c>
      <c r="E20" s="1">
        <v>8838</v>
      </c>
      <c r="F20" s="1">
        <v>18376</v>
      </c>
      <c r="G20" s="1">
        <v>6382</v>
      </c>
      <c r="H20" s="1">
        <v>473</v>
      </c>
      <c r="I20" s="1">
        <v>115</v>
      </c>
      <c r="J20" s="1">
        <f t="shared" si="7"/>
        <v>34184</v>
      </c>
      <c r="K20" s="1">
        <f t="shared" si="3"/>
        <v>2221.96</v>
      </c>
      <c r="L20" s="4">
        <f t="shared" si="4"/>
        <v>31962.04</v>
      </c>
      <c r="M20" s="4">
        <v>3375</v>
      </c>
      <c r="N20" s="4">
        <f>53+96</f>
        <v>149</v>
      </c>
      <c r="O20" s="3">
        <f t="shared" si="5"/>
        <v>35486.04</v>
      </c>
      <c r="P20" s="3">
        <f t="shared" si="8"/>
        <v>4243.9599999999991</v>
      </c>
      <c r="Q20" s="10">
        <f t="shared" si="6"/>
        <v>175756.62928776778</v>
      </c>
      <c r="R20" s="9">
        <v>9.3200000000000005E-2</v>
      </c>
      <c r="S20" s="1"/>
      <c r="T20" s="1"/>
    </row>
    <row r="21" spans="1:20" x14ac:dyDescent="0.25">
      <c r="A21" s="2">
        <v>1995</v>
      </c>
      <c r="B21" s="4">
        <v>39050</v>
      </c>
      <c r="C21" s="1">
        <v>2901</v>
      </c>
      <c r="D21" s="3">
        <f t="shared" si="2"/>
        <v>41951</v>
      </c>
      <c r="E21" s="1">
        <v>9497</v>
      </c>
      <c r="F21" s="1">
        <v>20197</v>
      </c>
      <c r="G21" s="1">
        <v>6893</v>
      </c>
      <c r="H21" s="1">
        <v>496</v>
      </c>
      <c r="I21" s="1">
        <v>121</v>
      </c>
      <c r="J21" s="1">
        <f t="shared" si="7"/>
        <v>37204</v>
      </c>
      <c r="K21" s="1">
        <f t="shared" si="3"/>
        <v>2418.2600000000002</v>
      </c>
      <c r="L21" s="4">
        <f t="shared" si="4"/>
        <v>34785.74</v>
      </c>
      <c r="M21" s="4">
        <v>3376</v>
      </c>
      <c r="N21" s="4">
        <f>331+91</f>
        <v>422</v>
      </c>
      <c r="O21" s="3">
        <f t="shared" si="5"/>
        <v>38583.74</v>
      </c>
      <c r="P21" s="3">
        <f t="shared" si="8"/>
        <v>466.26000000000204</v>
      </c>
      <c r="Q21" s="10">
        <f t="shared" si="6"/>
        <v>192603.40713738772</v>
      </c>
      <c r="R21" s="9">
        <v>0.10929999999999999</v>
      </c>
      <c r="S21" s="1"/>
      <c r="T21" s="1"/>
    </row>
    <row r="22" spans="1:20" x14ac:dyDescent="0.25">
      <c r="A22" s="2">
        <v>1996</v>
      </c>
      <c r="B22" s="4">
        <v>42575</v>
      </c>
      <c r="C22" s="1">
        <v>2580</v>
      </c>
      <c r="D22" s="3">
        <f t="shared" si="2"/>
        <v>45155</v>
      </c>
      <c r="E22" s="1">
        <v>10185</v>
      </c>
      <c r="F22" s="1">
        <v>22075</v>
      </c>
      <c r="G22" s="1">
        <v>7457</v>
      </c>
      <c r="H22" s="1">
        <v>520</v>
      </c>
      <c r="I22" s="1">
        <v>130</v>
      </c>
      <c r="J22" s="1">
        <f t="shared" si="7"/>
        <v>40367</v>
      </c>
      <c r="K22" s="1">
        <f t="shared" si="3"/>
        <v>2623.855</v>
      </c>
      <c r="L22" s="4">
        <f t="shared" si="4"/>
        <v>37743.144999999997</v>
      </c>
      <c r="M22" s="4">
        <v>3514</v>
      </c>
      <c r="N22" s="4">
        <f>482+92</f>
        <v>574</v>
      </c>
      <c r="O22" s="3">
        <f t="shared" si="5"/>
        <v>41831.144999999997</v>
      </c>
      <c r="P22" s="3">
        <f t="shared" si="8"/>
        <v>743.8550000000032</v>
      </c>
      <c r="Q22" s="10">
        <f t="shared" si="6"/>
        <v>214398.81453750419</v>
      </c>
      <c r="R22" s="9">
        <v>7.8899999999999998E-2</v>
      </c>
      <c r="S22" s="1"/>
      <c r="T22" s="1"/>
    </row>
    <row r="23" spans="1:20" x14ac:dyDescent="0.25">
      <c r="A23" s="2">
        <v>1997</v>
      </c>
      <c r="B23" s="4">
        <v>45329</v>
      </c>
      <c r="C23" s="1">
        <v>2712</v>
      </c>
      <c r="D23" s="3">
        <f t="shared" si="2"/>
        <v>48041</v>
      </c>
      <c r="E23" s="1">
        <v>10648</v>
      </c>
      <c r="F23" s="1">
        <v>23402</v>
      </c>
      <c r="G23" s="1">
        <v>7818</v>
      </c>
      <c r="H23" s="1">
        <v>533</v>
      </c>
      <c r="I23" s="1">
        <v>137</v>
      </c>
      <c r="J23" s="1">
        <f t="shared" si="7"/>
        <v>42538</v>
      </c>
      <c r="K23" s="1">
        <f t="shared" si="3"/>
        <v>2764.9700000000003</v>
      </c>
      <c r="L23" s="4">
        <f t="shared" si="4"/>
        <v>39773.03</v>
      </c>
      <c r="M23" s="4">
        <v>3317</v>
      </c>
      <c r="N23" s="4">
        <f>536+112</f>
        <v>648</v>
      </c>
      <c r="O23" s="3">
        <f t="shared" si="5"/>
        <v>43738.03</v>
      </c>
      <c r="P23" s="3">
        <f t="shared" si="8"/>
        <v>1590.9700000000012</v>
      </c>
      <c r="Q23" s="10">
        <f t="shared" si="6"/>
        <v>232905.85100451327</v>
      </c>
      <c r="R23" s="9">
        <v>5.4199999999999998E-2</v>
      </c>
      <c r="S23" s="1"/>
      <c r="T23" s="1"/>
    </row>
    <row r="24" spans="1:20" x14ac:dyDescent="0.25">
      <c r="A24" s="2">
        <v>1998</v>
      </c>
      <c r="B24" s="4">
        <v>48164</v>
      </c>
      <c r="C24" s="1">
        <v>3163</v>
      </c>
      <c r="D24" s="3">
        <f t="shared" si="2"/>
        <v>51327</v>
      </c>
      <c r="E24" s="1">
        <v>5592</v>
      </c>
      <c r="F24" s="1">
        <v>30254</v>
      </c>
      <c r="G24" s="1">
        <v>8220</v>
      </c>
      <c r="H24" s="1">
        <v>584</v>
      </c>
      <c r="I24" s="1">
        <v>145</v>
      </c>
      <c r="J24" s="1">
        <f t="shared" si="7"/>
        <v>44795</v>
      </c>
      <c r="K24" s="1">
        <f t="shared" si="3"/>
        <v>2911.6750000000002</v>
      </c>
      <c r="L24" s="4">
        <f t="shared" si="4"/>
        <v>41883.324999999997</v>
      </c>
      <c r="M24" s="4">
        <v>3163</v>
      </c>
      <c r="N24" s="4">
        <f>567+116</f>
        <v>683</v>
      </c>
      <c r="O24" s="3">
        <f t="shared" si="5"/>
        <v>45729.324999999997</v>
      </c>
      <c r="P24" s="3">
        <f t="shared" si="8"/>
        <v>2434.6750000000029</v>
      </c>
      <c r="Q24" s="10">
        <f t="shared" si="6"/>
        <v>247964.0231289579</v>
      </c>
      <c r="R24" s="9">
        <v>4.1500000000000002E-2</v>
      </c>
      <c r="S24" s="1"/>
      <c r="T24" s="1"/>
    </row>
    <row r="25" spans="1:20" x14ac:dyDescent="0.25">
      <c r="A25" s="2">
        <v>1999</v>
      </c>
      <c r="B25" s="4">
        <v>51407</v>
      </c>
      <c r="C25" s="1">
        <v>3706</v>
      </c>
      <c r="D25" s="3">
        <f t="shared" si="2"/>
        <v>55113</v>
      </c>
      <c r="E25" s="1">
        <v>5763</v>
      </c>
      <c r="F25" s="1">
        <v>31666</v>
      </c>
      <c r="G25" s="1">
        <v>8630</v>
      </c>
      <c r="H25" s="1">
        <v>649</v>
      </c>
      <c r="I25" s="1">
        <v>148</v>
      </c>
      <c r="J25" s="1">
        <f t="shared" si="7"/>
        <v>46856</v>
      </c>
      <c r="K25" s="1">
        <f t="shared" si="3"/>
        <v>3045.6400000000003</v>
      </c>
      <c r="L25" s="4">
        <f t="shared" si="4"/>
        <v>43810.36</v>
      </c>
      <c r="M25" s="4">
        <v>3337</v>
      </c>
      <c r="N25" s="4">
        <f>639+129</f>
        <v>768</v>
      </c>
      <c r="O25" s="3">
        <f t="shared" si="5"/>
        <v>47915.360000000001</v>
      </c>
      <c r="P25" s="3">
        <f t="shared" si="8"/>
        <v>3491.6399999999994</v>
      </c>
      <c r="Q25" s="10">
        <f t="shared" si="6"/>
        <v>261746.17008880968</v>
      </c>
      <c r="R25" s="9">
        <v>3.7900000000000003E-2</v>
      </c>
      <c r="S25" s="1"/>
      <c r="T25" s="1"/>
    </row>
    <row r="26" spans="1:20" x14ac:dyDescent="0.25">
      <c r="A26" s="2">
        <v>2000</v>
      </c>
      <c r="B26" s="4">
        <v>56620</v>
      </c>
      <c r="C26" s="1">
        <v>3919</v>
      </c>
      <c r="D26" s="3">
        <f t="shared" si="2"/>
        <v>60539</v>
      </c>
      <c r="E26" s="1">
        <v>6180</v>
      </c>
      <c r="F26" s="1">
        <v>34484</v>
      </c>
      <c r="G26" s="1">
        <v>9511</v>
      </c>
      <c r="H26" s="1">
        <v>746</v>
      </c>
      <c r="I26" s="1">
        <v>158</v>
      </c>
      <c r="J26" s="1">
        <f t="shared" si="7"/>
        <v>51079</v>
      </c>
      <c r="K26" s="1">
        <f t="shared" si="3"/>
        <v>3320.1350000000002</v>
      </c>
      <c r="L26" s="4">
        <f t="shared" si="4"/>
        <v>47758.864999999998</v>
      </c>
      <c r="M26" s="4">
        <v>3784</v>
      </c>
      <c r="N26" s="4">
        <f>740+146</f>
        <v>886</v>
      </c>
      <c r="O26" s="3">
        <f t="shared" si="5"/>
        <v>52428.864999999998</v>
      </c>
      <c r="P26" s="3">
        <f t="shared" si="8"/>
        <v>4191.135000000002</v>
      </c>
      <c r="Q26" s="10">
        <f t="shared" si="6"/>
        <v>275857.48493517557</v>
      </c>
      <c r="R26" s="9">
        <v>5.0999999999999997E-2</v>
      </c>
      <c r="S26" s="1">
        <v>601</v>
      </c>
      <c r="T26" s="1"/>
    </row>
    <row r="27" spans="1:20" x14ac:dyDescent="0.25">
      <c r="A27" s="2">
        <v>2001</v>
      </c>
      <c r="B27" s="4">
        <v>62105</v>
      </c>
      <c r="C27" s="1">
        <v>3967</v>
      </c>
      <c r="D27" s="3">
        <f t="shared" si="2"/>
        <v>66072</v>
      </c>
      <c r="E27" s="1">
        <v>6413</v>
      </c>
      <c r="F27" s="1">
        <v>36061</v>
      </c>
      <c r="G27" s="1">
        <v>9969</v>
      </c>
      <c r="H27" s="1">
        <v>770</v>
      </c>
      <c r="I27" s="1">
        <v>161</v>
      </c>
      <c r="J27" s="1">
        <f t="shared" si="7"/>
        <v>53374</v>
      </c>
      <c r="K27" s="1">
        <f t="shared" si="3"/>
        <v>3469.31</v>
      </c>
      <c r="L27" s="4">
        <f t="shared" si="4"/>
        <v>49904.69</v>
      </c>
      <c r="M27" s="4">
        <v>4278</v>
      </c>
      <c r="N27" s="4">
        <f>847+165</f>
        <v>1012</v>
      </c>
      <c r="O27" s="3">
        <f t="shared" si="5"/>
        <v>55194.69</v>
      </c>
      <c r="P27" s="3">
        <f t="shared" si="8"/>
        <v>6910.3099999999977</v>
      </c>
      <c r="Q27" s="10">
        <f t="shared" si="6"/>
        <v>296836.52666686953</v>
      </c>
      <c r="R27" s="9">
        <v>5.5100000000000003E-2</v>
      </c>
      <c r="S27" s="1">
        <v>1803</v>
      </c>
      <c r="T27" s="1"/>
    </row>
    <row r="28" spans="1:20" x14ac:dyDescent="0.25">
      <c r="A28" s="2">
        <v>2002</v>
      </c>
      <c r="B28" s="4">
        <v>65999</v>
      </c>
      <c r="C28" s="1">
        <v>4579</v>
      </c>
      <c r="D28" s="3">
        <f t="shared" si="2"/>
        <v>70578</v>
      </c>
      <c r="E28" s="1">
        <v>6783</v>
      </c>
      <c r="F28" s="1">
        <v>38232</v>
      </c>
      <c r="G28" s="1">
        <v>10820</v>
      </c>
      <c r="H28" s="1">
        <v>848</v>
      </c>
      <c r="I28" s="1">
        <v>169</v>
      </c>
      <c r="J28" s="1">
        <f t="shared" si="7"/>
        <v>56852</v>
      </c>
      <c r="K28" s="1">
        <v>4160</v>
      </c>
      <c r="L28" s="4">
        <f t="shared" si="4"/>
        <v>52692</v>
      </c>
      <c r="M28" s="4">
        <v>4754</v>
      </c>
      <c r="N28" s="4">
        <f>943+344</f>
        <v>1287</v>
      </c>
      <c r="O28" s="3">
        <f t="shared" si="5"/>
        <v>58733</v>
      </c>
      <c r="P28" s="3">
        <f t="shared" si="8"/>
        <v>7266</v>
      </c>
      <c r="Q28" s="10">
        <f t="shared" si="6"/>
        <v>320458.21928621404</v>
      </c>
      <c r="R28" s="9">
        <v>5.4100000000000002E-2</v>
      </c>
      <c r="S28" s="1">
        <v>3575</v>
      </c>
      <c r="T28" s="1"/>
    </row>
    <row r="29" spans="1:20" x14ac:dyDescent="0.25">
      <c r="A29" s="2">
        <v>2003</v>
      </c>
      <c r="B29" s="4">
        <v>70997</v>
      </c>
      <c r="C29" s="1">
        <v>5163</v>
      </c>
      <c r="D29" s="3">
        <f t="shared" si="2"/>
        <v>76160</v>
      </c>
      <c r="E29" s="1">
        <v>7196</v>
      </c>
      <c r="F29" s="1">
        <v>40187</v>
      </c>
      <c r="G29" s="1">
        <v>11697</v>
      </c>
      <c r="H29" s="1">
        <v>894</v>
      </c>
      <c r="I29" s="1">
        <v>177</v>
      </c>
      <c r="J29" s="1">
        <f t="shared" si="7"/>
        <v>60151</v>
      </c>
      <c r="K29" s="1">
        <v>4103</v>
      </c>
      <c r="L29" s="4">
        <f t="shared" si="4"/>
        <v>56048</v>
      </c>
      <c r="M29" s="4">
        <v>5154</v>
      </c>
      <c r="N29" s="4">
        <f>1081+174</f>
        <v>1255</v>
      </c>
      <c r="O29" s="3">
        <f t="shared" si="5"/>
        <v>62457</v>
      </c>
      <c r="P29" s="3">
        <f t="shared" si="8"/>
        <v>8540</v>
      </c>
      <c r="Q29" s="10">
        <f t="shared" si="6"/>
        <v>346335.00894959824</v>
      </c>
      <c r="R29" s="9">
        <v>5.0599999999999999E-2</v>
      </c>
      <c r="S29" s="1">
        <v>5494</v>
      </c>
      <c r="T29" s="1"/>
    </row>
    <row r="30" spans="1:20" x14ac:dyDescent="0.25">
      <c r="A30" s="2">
        <v>2004</v>
      </c>
      <c r="B30" s="4">
        <v>75864</v>
      </c>
      <c r="C30" s="1">
        <v>5736</v>
      </c>
      <c r="D30" s="3">
        <f t="shared" si="2"/>
        <v>81600</v>
      </c>
      <c r="E30" s="1">
        <v>7760</v>
      </c>
      <c r="F30" s="1">
        <v>42528</v>
      </c>
      <c r="G30" s="1">
        <v>13029</v>
      </c>
      <c r="H30" s="1">
        <v>946</v>
      </c>
      <c r="I30" s="1">
        <v>191</v>
      </c>
      <c r="J30" s="1">
        <f t="shared" si="7"/>
        <v>64454</v>
      </c>
      <c r="K30" s="1">
        <v>3963</v>
      </c>
      <c r="L30" s="4">
        <f t="shared" si="4"/>
        <v>60491</v>
      </c>
      <c r="M30" s="4">
        <v>5830</v>
      </c>
      <c r="N30" s="4">
        <f>1187+348</f>
        <v>1535</v>
      </c>
      <c r="O30" s="3">
        <f t="shared" si="5"/>
        <v>67856</v>
      </c>
      <c r="P30" s="3">
        <f t="shared" si="8"/>
        <v>8008</v>
      </c>
      <c r="Q30" s="10">
        <f t="shared" si="6"/>
        <v>371867.56040244788</v>
      </c>
      <c r="R30" s="9">
        <v>4.7100000000000003E-2</v>
      </c>
      <c r="S30" s="1">
        <v>6700</v>
      </c>
      <c r="T30" s="1"/>
    </row>
    <row r="31" spans="1:20" x14ac:dyDescent="0.25">
      <c r="A31" s="2">
        <v>2005</v>
      </c>
      <c r="B31" s="4">
        <v>81555</v>
      </c>
      <c r="C31" s="1">
        <v>6352</v>
      </c>
      <c r="D31" s="3">
        <f t="shared" si="2"/>
        <v>87907</v>
      </c>
      <c r="E31" s="1">
        <v>8335</v>
      </c>
      <c r="F31" s="1">
        <v>45474</v>
      </c>
      <c r="G31" s="1">
        <v>13939</v>
      </c>
      <c r="H31" s="1">
        <v>1002</v>
      </c>
      <c r="I31" s="1">
        <v>200</v>
      </c>
      <c r="J31" s="1">
        <f t="shared" si="7"/>
        <v>68950</v>
      </c>
      <c r="K31" s="1">
        <v>4407</v>
      </c>
      <c r="L31" s="4">
        <f t="shared" si="4"/>
        <v>64543</v>
      </c>
      <c r="M31" s="4">
        <v>6407</v>
      </c>
      <c r="N31" s="4">
        <f>1319+379</f>
        <v>1698</v>
      </c>
      <c r="O31" s="3">
        <f t="shared" si="5"/>
        <v>72648</v>
      </c>
      <c r="P31" s="3">
        <f t="shared" si="8"/>
        <v>8907</v>
      </c>
      <c r="Q31" s="10">
        <f t="shared" si="6"/>
        <v>398289.52249740314</v>
      </c>
      <c r="R31" s="9">
        <v>4.4299999999999999E-2</v>
      </c>
      <c r="S31" s="1">
        <v>7000</v>
      </c>
      <c r="T31" s="1"/>
    </row>
    <row r="32" spans="1:20" x14ac:dyDescent="0.25">
      <c r="A32" s="2">
        <v>2006</v>
      </c>
      <c r="B32" s="4">
        <v>88941</v>
      </c>
      <c r="C32" s="1">
        <v>6461</v>
      </c>
      <c r="D32" s="3">
        <f t="shared" si="2"/>
        <v>95402</v>
      </c>
      <c r="E32" s="1">
        <v>8932</v>
      </c>
      <c r="F32" s="1">
        <v>48852</v>
      </c>
      <c r="G32" s="1">
        <v>14687</v>
      </c>
      <c r="H32" s="1">
        <v>1046</v>
      </c>
      <c r="I32" s="1">
        <v>207</v>
      </c>
      <c r="J32" s="1">
        <f t="shared" si="7"/>
        <v>73724</v>
      </c>
      <c r="K32" s="1">
        <v>4818</v>
      </c>
      <c r="L32" s="4">
        <f t="shared" si="4"/>
        <v>68906</v>
      </c>
      <c r="M32" s="4">
        <v>6851</v>
      </c>
      <c r="N32" s="4">
        <f>1481+391</f>
        <v>1872</v>
      </c>
      <c r="O32" s="3">
        <f t="shared" si="5"/>
        <v>77629</v>
      </c>
      <c r="P32" s="3">
        <f t="shared" si="8"/>
        <v>11312</v>
      </c>
      <c r="Q32" s="10">
        <f t="shared" si="6"/>
        <v>427245.74834403809</v>
      </c>
      <c r="R32" s="9">
        <v>4.3299999999999998E-2</v>
      </c>
      <c r="S32" s="1">
        <v>7500</v>
      </c>
      <c r="T32" s="1">
        <v>35879</v>
      </c>
    </row>
    <row r="33" spans="1:20" x14ac:dyDescent="0.25">
      <c r="A33" s="2">
        <v>2007</v>
      </c>
      <c r="B33" s="4">
        <v>96006</v>
      </c>
      <c r="C33" s="1">
        <v>7257</v>
      </c>
      <c r="D33" s="3">
        <f t="shared" si="2"/>
        <v>103263</v>
      </c>
      <c r="E33" s="1">
        <v>9751</v>
      </c>
      <c r="F33" s="1">
        <v>52945</v>
      </c>
      <c r="G33" s="1">
        <v>15782</v>
      </c>
      <c r="H33" s="1">
        <v>1108</v>
      </c>
      <c r="I33" s="1">
        <v>219</v>
      </c>
      <c r="J33" s="1">
        <f t="shared" si="7"/>
        <v>79805</v>
      </c>
      <c r="K33" s="1">
        <v>5400</v>
      </c>
      <c r="L33" s="4">
        <f t="shared" si="4"/>
        <v>74405</v>
      </c>
      <c r="M33" s="4">
        <v>7254</v>
      </c>
      <c r="N33" s="4">
        <f>1787+418</f>
        <v>2205</v>
      </c>
      <c r="O33" s="3">
        <f t="shared" si="5"/>
        <v>83864</v>
      </c>
      <c r="P33" s="3">
        <f t="shared" si="8"/>
        <v>12142</v>
      </c>
      <c r="Q33" s="10">
        <f t="shared" si="6"/>
        <v>457887.48924733489</v>
      </c>
      <c r="R33" s="9">
        <v>4.4200000000000003E-2</v>
      </c>
      <c r="S33" s="1">
        <v>8300</v>
      </c>
      <c r="T33" s="1">
        <v>45716</v>
      </c>
    </row>
    <row r="34" spans="1:20" x14ac:dyDescent="0.25">
      <c r="A34" s="2">
        <v>2008</v>
      </c>
      <c r="B34" s="4">
        <v>99637</v>
      </c>
      <c r="C34" s="1">
        <v>8466</v>
      </c>
      <c r="D34" s="3">
        <f t="shared" si="2"/>
        <v>108103</v>
      </c>
      <c r="E34" s="1">
        <v>10304</v>
      </c>
      <c r="F34" s="1">
        <v>56347</v>
      </c>
      <c r="G34" s="1">
        <v>16664</v>
      </c>
      <c r="H34" s="1">
        <v>1185</v>
      </c>
      <c r="I34" s="1">
        <v>228</v>
      </c>
      <c r="J34" s="1">
        <f t="shared" si="7"/>
        <v>84728</v>
      </c>
      <c r="K34" s="1">
        <v>5907</v>
      </c>
      <c r="L34" s="4">
        <f t="shared" si="4"/>
        <v>78821</v>
      </c>
      <c r="M34" s="4">
        <v>7534</v>
      </c>
      <c r="N34" s="4">
        <f>2209+456</f>
        <v>2665</v>
      </c>
      <c r="O34" s="3">
        <f t="shared" si="5"/>
        <v>89020</v>
      </c>
      <c r="P34" s="3">
        <f t="shared" si="8"/>
        <v>10617</v>
      </c>
      <c r="Q34" s="10">
        <f t="shared" si="6"/>
        <v>488743.11627206707</v>
      </c>
      <c r="R34" s="9">
        <v>4.4200000000000003E-2</v>
      </c>
      <c r="S34" s="1">
        <v>9400</v>
      </c>
      <c r="T34" s="1">
        <v>57223</v>
      </c>
    </row>
    <row r="35" spans="1:20" x14ac:dyDescent="0.25">
      <c r="A35" s="2">
        <v>2009</v>
      </c>
      <c r="B35" s="4">
        <v>95393</v>
      </c>
      <c r="C35" s="1">
        <v>11160</v>
      </c>
      <c r="D35" s="3">
        <f t="shared" si="2"/>
        <v>106553</v>
      </c>
      <c r="E35" s="1">
        <v>10783</v>
      </c>
      <c r="F35" s="1">
        <v>60144</v>
      </c>
      <c r="G35" s="1">
        <v>17546</v>
      </c>
      <c r="H35" s="1">
        <v>1262</v>
      </c>
      <c r="I35" s="1">
        <v>237</v>
      </c>
      <c r="J35" s="1">
        <f t="shared" si="7"/>
        <v>89972</v>
      </c>
      <c r="K35" s="1">
        <v>6426</v>
      </c>
      <c r="L35" s="4">
        <f t="shared" si="4"/>
        <v>83546</v>
      </c>
      <c r="M35" s="4">
        <v>7176</v>
      </c>
      <c r="N35" s="4">
        <f>2293+459</f>
        <v>2752</v>
      </c>
      <c r="O35" s="3">
        <f t="shared" si="5"/>
        <v>93474</v>
      </c>
      <c r="P35" s="3">
        <f t="shared" si="8"/>
        <v>1919</v>
      </c>
      <c r="Q35" s="10">
        <f t="shared" si="6"/>
        <v>512264.56201129244</v>
      </c>
      <c r="R35" s="9">
        <v>3.8699999999999998E-2</v>
      </c>
      <c r="S35" s="1"/>
      <c r="T35" s="1">
        <v>60022</v>
      </c>
    </row>
    <row r="36" spans="1:20" x14ac:dyDescent="0.25">
      <c r="A36" s="2">
        <v>2010</v>
      </c>
      <c r="B36" s="4">
        <v>94660</v>
      </c>
      <c r="C36" s="1">
        <f>10816+14</f>
        <v>10830</v>
      </c>
      <c r="D36" s="3">
        <f t="shared" si="2"/>
        <v>105490</v>
      </c>
      <c r="E36" s="1">
        <v>11261</v>
      </c>
      <c r="F36" s="1">
        <v>64343</v>
      </c>
      <c r="G36" s="1">
        <v>18512</v>
      </c>
      <c r="H36" s="1">
        <v>1340</v>
      </c>
      <c r="I36" s="1">
        <v>246</v>
      </c>
      <c r="J36" s="1">
        <f t="shared" si="7"/>
        <v>95702</v>
      </c>
      <c r="K36" s="1">
        <v>7008</v>
      </c>
      <c r="L36" s="4">
        <f t="shared" si="4"/>
        <v>88694</v>
      </c>
      <c r="M36" s="4">
        <v>6733</v>
      </c>
      <c r="N36" s="4">
        <f>2317+443</f>
        <v>2760</v>
      </c>
      <c r="O36" s="3">
        <f t="shared" si="5"/>
        <v>98187</v>
      </c>
      <c r="P36" s="3">
        <f t="shared" si="8"/>
        <v>-3527</v>
      </c>
      <c r="Q36" s="10">
        <f t="shared" si="6"/>
        <v>528562.20056112949</v>
      </c>
      <c r="R36" s="9">
        <v>3.5799999999999998E-2</v>
      </c>
      <c r="S36" s="1">
        <v>1740</v>
      </c>
      <c r="T36" s="1">
        <v>64375</v>
      </c>
    </row>
    <row r="37" spans="1:20" x14ac:dyDescent="0.25">
      <c r="A37" s="2">
        <v>2011</v>
      </c>
      <c r="B37" s="1">
        <v>88334</v>
      </c>
      <c r="C37" s="1">
        <v>16978</v>
      </c>
      <c r="D37" s="3">
        <f t="shared" si="2"/>
        <v>105312</v>
      </c>
      <c r="E37" s="1">
        <v>11456</v>
      </c>
      <c r="F37" s="1">
        <v>67398</v>
      </c>
      <c r="G37" s="1">
        <v>19036</v>
      </c>
      <c r="H37" s="1">
        <v>1391</v>
      </c>
      <c r="I37" s="1">
        <v>253</v>
      </c>
      <c r="J37" s="1">
        <f t="shared" si="7"/>
        <v>99534</v>
      </c>
      <c r="K37" s="1">
        <v>7487</v>
      </c>
      <c r="L37" s="4">
        <f t="shared" si="4"/>
        <v>92047</v>
      </c>
      <c r="M37" s="1">
        <v>6241</v>
      </c>
      <c r="N37" s="1">
        <f>2352+434</f>
        <v>2786</v>
      </c>
      <c r="O37" s="3">
        <f>L37+M37+N37</f>
        <v>101074</v>
      </c>
      <c r="P37" s="3">
        <f t="shared" ref="P37:P40" si="9">D37-O37</f>
        <v>4238</v>
      </c>
      <c r="Q37" s="10">
        <f t="shared" si="6"/>
        <v>551722.72734121792</v>
      </c>
      <c r="R37" s="9">
        <v>3.9100000000000003E-2</v>
      </c>
      <c r="S37" s="1"/>
      <c r="T37" s="1">
        <v>66815</v>
      </c>
    </row>
    <row r="38" spans="1:20" x14ac:dyDescent="0.25">
      <c r="A38" s="2">
        <v>2012</v>
      </c>
      <c r="B38" s="1">
        <v>84339</v>
      </c>
      <c r="C38" s="1">
        <v>16720</v>
      </c>
      <c r="D38" s="3">
        <f t="shared" si="2"/>
        <v>101059</v>
      </c>
      <c r="E38" s="1">
        <v>11732</v>
      </c>
      <c r="F38" s="1">
        <v>70529</v>
      </c>
      <c r="G38" s="1">
        <v>19517</v>
      </c>
      <c r="H38" s="1">
        <v>1465</v>
      </c>
      <c r="I38" s="1">
        <v>261</v>
      </c>
      <c r="J38" s="1">
        <f t="shared" si="7"/>
        <v>103504</v>
      </c>
      <c r="K38" s="1">
        <v>7473</v>
      </c>
      <c r="L38" s="4">
        <f t="shared" si="4"/>
        <v>96031</v>
      </c>
      <c r="M38" s="1">
        <v>5360</v>
      </c>
      <c r="N38" s="1">
        <f>2264+399</f>
        <v>2663</v>
      </c>
      <c r="O38" s="3">
        <f t="shared" ref="O38:O42" si="10">L38+M38+N38</f>
        <v>104054</v>
      </c>
      <c r="P38" s="3">
        <f t="shared" si="9"/>
        <v>-2995</v>
      </c>
      <c r="Q38" s="10">
        <f t="shared" si="6"/>
        <v>570300.08598025946</v>
      </c>
      <c r="R38" s="9">
        <v>4.0800000000000003E-2</v>
      </c>
      <c r="S38" s="1"/>
      <c r="T38" s="1">
        <v>63008</v>
      </c>
    </row>
    <row r="39" spans="1:20" x14ac:dyDescent="0.25">
      <c r="A39" s="2">
        <v>2013</v>
      </c>
      <c r="B39" s="1">
        <v>83079</v>
      </c>
      <c r="C39" s="1">
        <v>15131</v>
      </c>
      <c r="D39" s="3">
        <f t="shared" si="2"/>
        <v>98210</v>
      </c>
      <c r="E39" s="1">
        <v>11905</v>
      </c>
      <c r="F39" s="1">
        <v>74664</v>
      </c>
      <c r="G39" s="1">
        <v>20145</v>
      </c>
      <c r="H39" s="1">
        <v>1585</v>
      </c>
      <c r="I39" s="1">
        <v>265</v>
      </c>
      <c r="J39" s="1">
        <f t="shared" si="7"/>
        <v>108564</v>
      </c>
      <c r="K39" s="1">
        <v>7511</v>
      </c>
      <c r="L39" s="4">
        <f t="shared" si="4"/>
        <v>101053</v>
      </c>
      <c r="M39" s="1">
        <v>5015</v>
      </c>
      <c r="N39" s="1">
        <f>2128+371</f>
        <v>2499</v>
      </c>
      <c r="O39" s="3">
        <f t="shared" si="10"/>
        <v>108567</v>
      </c>
      <c r="P39" s="3">
        <f t="shared" si="9"/>
        <v>-10357</v>
      </c>
      <c r="Q39" s="10">
        <f t="shared" si="6"/>
        <v>583211.32948825404</v>
      </c>
      <c r="R39" s="9">
        <v>3.7900000000000003E-2</v>
      </c>
      <c r="S39" s="1"/>
      <c r="T39" s="1">
        <v>53744</v>
      </c>
    </row>
    <row r="40" spans="1:20" x14ac:dyDescent="0.25">
      <c r="A40" s="8">
        <v>2014</v>
      </c>
      <c r="B40" s="1">
        <f>99198-C40</f>
        <v>91232</v>
      </c>
      <c r="C40" s="1">
        <f>7816+150</f>
        <v>7966</v>
      </c>
      <c r="D40" s="3">
        <f t="shared" si="2"/>
        <v>99198</v>
      </c>
      <c r="E40" s="1">
        <v>11717</v>
      </c>
      <c r="F40" s="1">
        <v>73555</v>
      </c>
      <c r="G40" s="1">
        <v>17751</v>
      </c>
      <c r="H40" s="1">
        <v>1423</v>
      </c>
      <c r="I40" s="1">
        <v>242</v>
      </c>
      <c r="J40" s="1">
        <f t="shared" si="7"/>
        <v>104688</v>
      </c>
      <c r="K40" s="1"/>
      <c r="L40" s="4">
        <f t="shared" si="4"/>
        <v>104688</v>
      </c>
      <c r="M40" s="1">
        <v>5473</v>
      </c>
      <c r="N40" s="1">
        <f>8067-M40</f>
        <v>2594</v>
      </c>
      <c r="O40" s="3">
        <f t="shared" si="10"/>
        <v>112755</v>
      </c>
      <c r="P40" s="3">
        <f t="shared" si="9"/>
        <v>-13557</v>
      </c>
      <c r="Q40" s="10">
        <f t="shared" si="6"/>
        <v>591758.03887585888</v>
      </c>
      <c r="R40" s="9">
        <v>3.5999999999999997E-2</v>
      </c>
      <c r="S40" s="1"/>
      <c r="T40" s="1">
        <v>41634</v>
      </c>
    </row>
    <row r="41" spans="1:20" x14ac:dyDescent="0.25">
      <c r="A41" s="8">
        <v>2015</v>
      </c>
      <c r="B41" s="1">
        <f>100569-C41</f>
        <v>93708</v>
      </c>
      <c r="C41" s="1">
        <f>6717+144</f>
        <v>6861</v>
      </c>
      <c r="D41" s="3">
        <f t="shared" si="2"/>
        <v>100569</v>
      </c>
      <c r="E41" s="1">
        <v>11857</v>
      </c>
      <c r="F41" s="1">
        <v>76523</v>
      </c>
      <c r="G41" s="1">
        <v>18087</v>
      </c>
      <c r="H41" s="1">
        <v>1494</v>
      </c>
      <c r="I41" s="1">
        <v>253</v>
      </c>
      <c r="J41" s="1">
        <f t="shared" si="7"/>
        <v>108214</v>
      </c>
      <c r="K41" s="1"/>
      <c r="L41" s="4">
        <f t="shared" si="4"/>
        <v>108214</v>
      </c>
      <c r="M41" s="1">
        <v>6149</v>
      </c>
      <c r="N41" s="1">
        <f>8773-M41</f>
        <v>2624</v>
      </c>
      <c r="O41" s="3">
        <f t="shared" si="10"/>
        <v>116987</v>
      </c>
      <c r="P41" s="3">
        <f>D41-O41</f>
        <v>-16418</v>
      </c>
      <c r="Q41" s="10">
        <f>+Q40*(1+R40)+P41</f>
        <v>596643.32827538985</v>
      </c>
      <c r="R41" s="9">
        <v>3.2500000000000001E-2</v>
      </c>
      <c r="S41" s="1"/>
      <c r="T41" s="1">
        <v>32481</v>
      </c>
    </row>
    <row r="42" spans="1:20" x14ac:dyDescent="0.25">
      <c r="A42" s="7">
        <v>2016</v>
      </c>
      <c r="B42" s="1">
        <f>B41*1.0315</f>
        <v>96659.802000000011</v>
      </c>
      <c r="C42" s="1">
        <f>C41*1.0315</f>
        <v>7077.1215000000002</v>
      </c>
      <c r="D42" s="3">
        <f t="shared" ref="D42" si="11">B42+C42</f>
        <v>103736.9235</v>
      </c>
      <c r="E42" s="6">
        <f>E41*1.0587</f>
        <v>12553.0059</v>
      </c>
      <c r="F42" s="6">
        <f>F41*1.0587</f>
        <v>81014.900099999999</v>
      </c>
      <c r="G42" s="6">
        <f>G41*1.0587</f>
        <v>19148.706900000001</v>
      </c>
      <c r="H42" s="6">
        <f>H41*1.0587</f>
        <v>1581.6977999999999</v>
      </c>
      <c r="I42" s="6">
        <f>I41*1.0587</f>
        <v>267.85109999999997</v>
      </c>
      <c r="J42" s="1">
        <f t="shared" si="7"/>
        <v>114566.1618</v>
      </c>
      <c r="K42" s="6"/>
      <c r="L42" s="4">
        <f t="shared" si="4"/>
        <v>114566.1618</v>
      </c>
      <c r="M42" s="6">
        <f>M41*1.0587</f>
        <v>6509.9462999999996</v>
      </c>
      <c r="N42" s="6">
        <f>N41*1.0587</f>
        <v>2778.0288</v>
      </c>
      <c r="O42" s="3">
        <f t="shared" si="10"/>
        <v>123854.1369</v>
      </c>
      <c r="P42" s="3">
        <f>D42-O42</f>
        <v>-20117.213399999993</v>
      </c>
      <c r="Q42" s="10">
        <f>+Q41*(1+R41)+P42</f>
        <v>595917.02304433996</v>
      </c>
      <c r="R42" s="6"/>
      <c r="S42" s="6"/>
      <c r="T42" s="6">
        <v>13543</v>
      </c>
    </row>
    <row r="43" spans="1:20" x14ac:dyDescent="0.25">
      <c r="A43" s="7"/>
      <c r="B43" s="6"/>
      <c r="C43" s="6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v>-2655</v>
      </c>
    </row>
    <row r="44" spans="1:20" x14ac:dyDescent="0.25">
      <c r="A44" s="7"/>
      <c r="B44" t="s">
        <v>22</v>
      </c>
      <c r="P44" s="6"/>
      <c r="Q44" s="6"/>
      <c r="R44" s="6"/>
      <c r="S44" s="6"/>
      <c r="T44" s="6"/>
    </row>
    <row r="45" spans="1:20" x14ac:dyDescent="0.2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5" t="s">
        <v>19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0" x14ac:dyDescent="0.25">
      <c r="A47" s="5" t="s">
        <v>20</v>
      </c>
    </row>
    <row r="48" spans="1:20" x14ac:dyDescent="0.25">
      <c r="A48" t="s">
        <v>21</v>
      </c>
    </row>
  </sheetData>
  <pageMargins left="0" right="0" top="0" bottom="0" header="0" footer="0"/>
  <pageSetup paperSize="9"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Pedro Manuel González de la Calleja</cp:lastModifiedBy>
  <cp:revision/>
  <cp:lastPrinted>2017-08-09T10:36:30Z</cp:lastPrinted>
  <dcterms:created xsi:type="dcterms:W3CDTF">2017-03-08T11:36:48Z</dcterms:created>
  <dcterms:modified xsi:type="dcterms:W3CDTF">2017-08-09T10:40:32Z</dcterms:modified>
  <cp:category/>
  <cp:contentStatus/>
</cp:coreProperties>
</file>